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Occupancy" sheetId="2" state="visible" r:id="rId4"/>
    <sheet name="Shells" sheetId="3" state="visible" r:id="rId5"/>
    <sheet name="Engine_Static" sheetId="4" state="visible" r:id="rId6"/>
    <sheet name="Corridor" sheetId="5" state="visible" r:id="rId7"/>
    <sheet name="QB_Engine_Static" sheetId="6" state="visible" r:id="rId8"/>
    <sheet name="Race_Model_Static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<sst xmlns="http://schemas.openxmlformats.org/spreadsheetml/2006/main" count="181" uniqueCount="169">
  <si>
    <t xml:space="preserve">Orbital Commons / Kessler study — workbook v0.1 (Phase 0)</t>
  </si>
  <si>
    <t xml:space="preserve">System of record for the study's numbers. Built 2026-07-15 by the Author seat.</t>
  </si>
  <si>
    <t xml:space="preserve">LEGEND</t>
  </si>
  <si>
    <t xml:space="preserve">Blue text = hardcoded input (each carries its source in the adjacent Source column)</t>
  </si>
  <si>
    <t xml:space="preserve">Black text = live formula (recalculates)</t>
  </si>
  <si>
    <t xml:space="preserve">Sheet 'Engine_Static' = imported simulation results — STATIC, NOT LIVE (seed &amp; knobs recorded there)</t>
  </si>
  <si>
    <t xml:space="preserve">PROVENANCE TAGS</t>
  </si>
  <si>
    <t xml:space="preserve">MEASURED = computed from the primary Space-Track catalog (Editor pull, 2026-07-15, 32,010 objects)</t>
  </si>
  <si>
    <t xml:space="preserve">SOURCED = from a cited primary/peer-reviewed source (House of Cards v3; McDowell GCAT census)</t>
  </si>
  <si>
    <t xml:space="preserve">ASSUMED = a knob, labeled, pending seat ruling (coupled-band knobs pend D1)</t>
  </si>
  <si>
    <t xml:space="preserve">Full ledger: kessler_source_ledger_v0.md</t>
  </si>
  <si>
    <t xml:space="preserve">Catalog occupancy (MEASURED from Space-Track 3LE, 2026-07-15)</t>
  </si>
  <si>
    <t xml:space="preserve">Quantity</t>
  </si>
  <si>
    <t xml:space="preserve">Value</t>
  </si>
  <si>
    <t xml:space="preserve">Source / formula</t>
  </si>
  <si>
    <t xml:space="preserve">Total cataloged objects (LEO-crossing file)</t>
  </si>
  <si>
    <t xml:space="preserve">Space-Track pull 2026-07-15; build_n_h_v1.py parse, 0 failures</t>
  </si>
  <si>
    <t xml:space="preserve">Payloads (active + defunct)</t>
  </si>
  <si>
    <t xml:space="preserve">3LE name-line classification</t>
  </si>
  <si>
    <t xml:space="preserve">Rocket bodies</t>
  </si>
  <si>
    <t xml:space="preserve">name contains R/B or AKM</t>
  </si>
  <si>
    <t xml:space="preserve">Tracked debris</t>
  </si>
  <si>
    <t xml:space="preserve">name contains DEB</t>
  </si>
  <si>
    <t xml:space="preserve">STARLINK-named objects (incl. 2 debris)</t>
  </si>
  <si>
    <t xml:space="preserve">name contains STARLINK</t>
  </si>
  <si>
    <t xml:space="preserve">OneWeb objects</t>
  </si>
  <si>
    <t xml:space="preserve">name contains ONEWEB</t>
  </si>
  <si>
    <t xml:space="preserve">Qianfan-type objects</t>
  </si>
  <si>
    <t xml:space="preserve">name contains QIANFAN/G60</t>
  </si>
  <si>
    <t xml:space="preserve">Active payloads, all operators (census, 8 Jul 2026)</t>
  </si>
  <si>
    <t xml:space="preserve">McDowell GCAT live stats 8 Jul 2026 (SOURCED; referee-verified D2-R1)</t>
  </si>
  <si>
    <t xml:space="preserve">Active Starlink (census, 8 Jul 2026)</t>
  </si>
  <si>
    <t xml:space="preserve">McDowell GCAT 8 Jul 2026 (SOURCED)</t>
  </si>
  <si>
    <t xml:space="preserve">Check: payloads + R/B + debris = total</t>
  </si>
  <si>
    <t xml:space="preserve">live formula; must equal B4</t>
  </si>
  <si>
    <t xml:space="preserve">Derived occupancy (live formulas)</t>
  </si>
  <si>
    <t xml:space="preserve">Starlink share of cataloged payloads</t>
  </si>
  <si>
    <t xml:space="preserve">formula; numerator excludes 2 STARLINK-named debris (referee F9)</t>
  </si>
  <si>
    <t xml:space="preserve">Starlink share of ALL cataloged objects</t>
  </si>
  <si>
    <t xml:space="preserve">formula</t>
  </si>
  <si>
    <t xml:space="preserve">Starlink share of ACTIVE payloads (census basis)</t>
  </si>
  <si>
    <t xml:space="preserve">Debris share of catalog</t>
  </si>
  <si>
    <t xml:space="preserve">Starlink : OneWeb ratio</t>
  </si>
  <si>
    <t xml:space="preserve">Burden-shift &amp; incidence (D2-R1b promotion packet; base disclosed on every use)</t>
  </si>
  <si>
    <t xml:space="preserve">Active non-maneuverable payloads (burden-shift population)</t>
  </si>
  <si>
    <t xml:space="preserve">GCAT 8 Jul 2026 (SOURCED)</t>
  </si>
  <si>
    <t xml:space="preserve">Starlink share of tracked LEO objects (weighted, incl. debris)</t>
  </si>
  <si>
    <t xml:space="preserve">MEASURED, 2026-07-15 catalog; CI [38.1,39.2]% (referee seed 104)</t>
  </si>
  <si>
    <t xml:space="preserve">… of active payloads</t>
  </si>
  <si>
    <t xml:space="preserve">SOURCED census, GCAT 8 Jul 2026</t>
  </si>
  <si>
    <t xml:space="preserve">… of operational-satellite mass in LEO</t>
  </si>
  <si>
    <t xml:space="preserve">SOURCED, UCS 1 May 2023 — STALE, flag on every use; TPG primary p.11 (NOT all-LEO mass)</t>
  </si>
  <si>
    <t xml:space="preserve">… of trigger-band (465-495) payload density</t>
  </si>
  <si>
    <t xml:space="preserve">MEASURED; CI [94.5,95.5]%</t>
  </si>
  <si>
    <t xml:space="preserve">… of no-maneuver 10-5-10 collision rate (Starlink-involved)</t>
  </si>
  <si>
    <t xml:space="preserve">MODELED on MEASURED; tau_Starlink-involved 0.729 d; CI [97.6,98.0]%</t>
  </si>
  <si>
    <t xml:space="preserve">Matched-scale density ratio: Starlink shell vs debris peak = 11.1x at 30-km windows [10.1, 11.4] — carried number (referee F12); unannotated 57x retired</t>
  </si>
  <si>
    <t xml:space="preserve">Per-band structure (densities MEASURED from n_h_v1.csv; geometry live)</t>
  </si>
  <si>
    <t xml:space="preserve">Band</t>
  </si>
  <si>
    <t xml:space="preserve">Alt lo (km)</t>
  </si>
  <si>
    <t xml:space="preserve">Alt hi (km)</t>
  </si>
  <si>
    <t xml:space="preserve">Avg n_payload (km^-3)</t>
  </si>
  <si>
    <t xml:space="preserve">Band volume (km^3)</t>
  </si>
  <si>
    <t xml:space="preserve">Implied weighted payloads</t>
  </si>
  <si>
    <t xml:space="preserve">Note</t>
  </si>
  <si>
    <t xml:space="preserve">below 465 (incl. transit)</t>
  </si>
  <si>
    <t xml:space="preserve">density MEASURED (VOLUME-WEIGHTED band mean, n_h_v1.csv; referee F8); volume exact; count live</t>
  </si>
  <si>
    <t xml:space="preserve">Starlink 480 shell</t>
  </si>
  <si>
    <t xml:space="preserve">495-540</t>
  </si>
  <si>
    <t xml:space="preserve">old Starlink 550 shell</t>
  </si>
  <si>
    <t xml:space="preserve">570-700</t>
  </si>
  <si>
    <t xml:space="preserve">legacy debris band</t>
  </si>
  <si>
    <t xml:space="preserve">upper LEO (OneWeb etc.)</t>
  </si>
  <si>
    <t xml:space="preserve">Sum of implied payloads (partial: excludes fine structure)</t>
  </si>
  <si>
    <t xml:space="preserve">IMPORTED SIMULATION RESULTS — STATIC, NOT LIVE</t>
  </si>
  <si>
    <t xml:space="preserve">Source: multishell_run.py (seed 20260715, n=100,000) + engine v1.1 (validated vs HoC v3). D1-verified 2026-07-15 (byte-reproduced; independently reimplemented to the digit).</t>
  </si>
  <si>
    <t xml:space="preserve">A = loss-of-control ASYMPTOTE (as-binned). B = DESIGN COUNTERFACTUAL (spread over 30 km): altitude-spreading lever, measured 2.785x. Different questions — never average.</t>
  </si>
  <si>
    <t xml:space="preserve">A: asymptote (as-binned)</t>
  </si>
  <si>
    <t xml:space="preserve">B: counterfactual (smoothed)</t>
  </si>
  <si>
    <t xml:space="preserve">10-5-10 Clock (days)</t>
  </si>
  <si>
    <t xml:space="preserve">P(collision &lt; 24h), no maneuvers</t>
  </si>
  <si>
    <t xml:space="preserve">Floor median (days)</t>
  </si>
  <si>
    <t xml:space="preserve">Floor P(&lt;24h)</t>
  </si>
  <si>
    <t xml:space="preserve">Coupled median (days)</t>
  </si>
  <si>
    <t xml:space="preserve">Coupled P(&lt;24h)</t>
  </si>
  <si>
    <t xml:space="preserve">Rate share: 465-495 trigger band</t>
  </si>
  <si>
    <t xml:space="preserve">Rate share: 700-1000 ratchet band</t>
  </si>
  <si>
    <t xml:space="preserve">RAMP CAVEAT (D1 Q4): the A clock is the relaxation TARGET after phase order decays, not the waiting time at control loss. Illustrative medians: 2.6/5.4/9.4 d for T_mix 7/30/90 d. T_mix commissioned from sourced substrate.</t>
  </si>
  <si>
    <t xml:space="preserve">Knobs (D1 Q2/Q5): density-bias 1.6x + xsec 0.30 = parameter uncertainty (belongs on BOTH bands; floor-side spread scheduled at Q-B engine build); storm 10% = occupancy-at-t0 FORCING, valid only where band clock &lt; storm duration. Nothing here is feedback.</t>
  </si>
  <si>
    <t xml:space="preserve">Anchor: densities from n_h_v1.csv (Shells sheet); raw draws multishell_raw_sample.csv; cross-artifact Clock tolerance 5e-7 rel (CSV 6-sig-fig; fix at engine rebuild).</t>
  </si>
  <si>
    <t xml:space="preserve">Interpretation: trigger probability lives at 465-495 (fuel-limited transient cascade possible; fast risk is operational saturation); persistence/ratchet lives at 700-1000 (effectively irreversible; regime-shift language belongs there only).</t>
  </si>
  <si>
    <t xml:space="preserve">Ascent corridor &amp; maneuver burden (F10; referee-candidate definition adopted; verification next round)</t>
  </si>
  <si>
    <t xml:space="preserve">Region (km)</t>
  </si>
  <si>
    <t xml:space="preserve">Column integral (n·dh, km^-2)</t>
  </si>
  <si>
    <t xml:space="preserve">Share of 150-2000 column</t>
  </si>
  <si>
    <t xml:space="preserve">Per-km multiple vs corridor avg</t>
  </si>
  <si>
    <t xml:space="preserve">150-465</t>
  </si>
  <si>
    <t xml:space="preserve">465-495</t>
  </si>
  <si>
    <t xml:space="preserve">495-700</t>
  </si>
  <si>
    <t xml:space="preserve">700-1000</t>
  </si>
  <si>
    <t xml:space="preserve">1000-2000</t>
  </si>
  <si>
    <t xml:space="preserve">Column integrals MEASURED from n_h_v1.csv (1-km bins, n_total). Trigger band = 30.5% of column in 30 km.</t>
  </si>
  <si>
    <t xml:space="preserve">Maneuver burden (SOURCED: SpaceX biannual via Space Intel Report; referee-verified)</t>
  </si>
  <si>
    <t xml:space="preserve">Collision-avoidance maneuvers, Dec 2024-May 2025</t>
  </si>
  <si>
    <t xml:space="preserve">SOURCED | C=per day (live), D=fleet-minutes between (live)</t>
  </si>
  <si>
    <t xml:space="preserve">Collision-avoidance maneuvers, Jun-Nov 2025</t>
  </si>
  <si>
    <t xml:space="preserve">CAPTION DISCIPLINE (referee): per-sat rate fell 41-&gt;36/yr ONLY because the fleet denominator grew — total maneuvers rose.</t>
  </si>
  <si>
    <t xml:space="preserve">Source: kessler_qb_engine.py v1.2 (seed 20260716, n=100,000). D5: ACCEPT WITH REVISIONS — byte-identical referee re-run; criticality reimplemented cross-seed. Wind-down scenario Author-built, model-verified; Referee reimplementation queued (D7).</t>
  </si>
  <si>
    <t xml:space="preserve">F15 READING (binds every P value below): probabilities over ASSUMED knob distributions — parameter belief, never event frequency. All trajectory magnitudes f_imp-conditional. e-fold is PRODUCTION-ONLY.</t>
  </si>
  <si>
    <t xml:space="preserve">CRITICALITY (rho* = tau x dP/dD)</t>
  </si>
  <si>
    <t xml:space="preserve">p50</t>
  </si>
  <si>
    <t xml:space="preserve">P(supercritical)</t>
  </si>
  <si>
    <t xml:space="preserve">production e-fold</t>
  </si>
  <si>
    <t xml:space="preserve">465-495 maneuvered</t>
  </si>
  <si>
    <t xml:space="preserve">—</t>
  </si>
  <si>
    <t xml:space="preserve">465-495 no-maneuver</t>
  </si>
  <si>
    <t xml:space="preserve">0.7 yr</t>
  </si>
  <si>
    <t xml:space="preserve">700-1000 maneuvered</t>
  </si>
  <si>
    <t xml:space="preserve">~28 yr</t>
  </si>
  <si>
    <t xml:space="preserve">1000-2000 maneuvered</t>
  </si>
  <si>
    <t xml:space="preserve">376 yr</t>
  </si>
  <si>
    <t xml:space="preserve">F13 (binding): Lewis &amp; Kessler 2025 speak to 520-620 / 620-1,000 km at a pre-migration epoch. Every 480-km claim above is OURS, MODELED — never attributed to the primary.</t>
  </si>
  <si>
    <t xml:space="preserve">SCENARIOS — trigger-band tracked debris (p50, common random numbers, paired)</t>
  </si>
  <si>
    <t xml:space="preserve">yr 5</t>
  </si>
  <si>
    <t xml:space="preserve">yr 25</t>
  </si>
  <si>
    <t xml:space="preserve">yr 50</t>
  </si>
  <si>
    <t xml:space="preserve">Baseline</t>
  </si>
  <si>
    <t xml:space="preserve">Launch stop = ABANDONMENT in place</t>
  </si>
  <si>
    <t xml:space="preserve">Responsible WIND-DOWN (p_disp ASSUMED 0.85-0.97)</t>
  </si>
  <si>
    <t xml:space="preserve">No-maneuver counterfactual</t>
  </si>
  <si>
    <t xml:space="preserve">ABANDONMENT / WIND-DOWN GAP (the measured in-model value of a continuity institution)</t>
  </si>
  <si>
    <t xml:space="preserve">30.4x</t>
  </si>
  <si>
    <t xml:space="preserve">25.1x</t>
  </si>
  <si>
    <t xml:space="preserve">4.1x</t>
  </si>
  <si>
    <t xml:space="preserve">Crewed floor P(lethal)/yr (receptor-only)</t>
  </si>
  <si>
    <t xml:space="preserve">[0.006, 0.030]</t>
  </si>
  <si>
    <t xml:space="preserve">96% non-tracked</t>
  </si>
  <si>
    <t xml:space="preserve">Committed downward flux, 700-1000 km, 50 yr (objects)</t>
  </si>
  <si>
    <t xml:space="preserve">[184k, 8.3M]</t>
  </si>
  <si>
    <t xml:space="preserve">Zero-event calibration (D5 F14): Lambda ~ 0.12, P(0) ~ 0.89; 95% bound sits 25x above the median knob product — history only weakly constrains the knobs.</t>
  </si>
  <si>
    <t xml:space="preserve">IMPORTED MODEL RESULTS — STATIC, NOT LIVE</t>
  </si>
  <si>
    <t xml:space="preserve">Source: race_model_d3b.py (Game Theory seat, seed 26716; cross-seed 26717 stated in results). Author reproduction BYTE-IDENTICAL from the seat's unmodified code; Referee reimplementation queued (D7).</t>
  </si>
  <si>
    <t xml:space="preserve">CAPTION DISCIPLINE (blocking): all region shares are shares of the ASSUMED payoff box — parameter belief over payoff assumptions, NEVER probabilities of the future.</t>
  </si>
  <si>
    <t xml:space="preserve">THE MAP (Cournot)</t>
  </si>
  <si>
    <t xml:space="preserve">share</t>
  </si>
  <si>
    <t xml:space="preserve">Paper (business case fails on ordinary cost)</t>
  </si>
  <si>
    <t xml:space="preserve">Race, subcritical</t>
  </si>
  <si>
    <t xml:space="preserve">Trap, critical</t>
  </si>
  <si>
    <t xml:space="preserve">Threshold unreachable by demand (share of box)</t>
  </si>
  <si>
    <t xml:space="preserve">Thin middle: theta_crit/theta_paper p50</t>
  </si>
  <si>
    <t xml:space="preserve">  share of reachable draws below 2x</t>
  </si>
  <si>
    <t xml:space="preserve">Private collision cost at threshold, $/sat-yr p50</t>
  </si>
  <si>
    <t xml:space="preserve">Static Pigouvian fee (open access), $/sat-yr p50</t>
  </si>
  <si>
    <t xml:space="preserve">Boundary-holding fee (trap draws), $/sat-yr p50</t>
  </si>
  <si>
    <t xml:space="preserve">  share held at top Rao anchor ($235k)</t>
  </si>
  <si>
    <t xml:space="preserve">MILESTONE ARITHMETIC — THREE LOUD IFs: all filings granted; milestones honored; stock at trigger-band-like shells. Column arithmetic, NOT a band forecast; no dates.</t>
  </si>
  <si>
    <t xml:space="preserve">Filed total (satellites)</t>
  </si>
  <si>
    <t xml:space="preserve">ITU M1 (10%) stock multiplier vs incumbent fleet</t>
  </si>
  <si>
    <t xml:space="preserve">past threshold in 73.7% of engine draws</t>
  </si>
  <si>
    <t xml:space="preserve">FCC 50% stock multiplier</t>
  </si>
  <si>
    <t xml:space="preserve">99.2% of draws</t>
  </si>
  <si>
    <t xml:space="preserve">MECHANISM TESTS</t>
  </si>
  <si>
    <t xml:space="preserve">E1 fee $235k: Cournot trap share</t>
  </si>
  <si>
    <t xml:space="preserve">14.0% -&gt; 8.2%</t>
  </si>
  <si>
    <t xml:space="preserve">E5 stranded capacity: deadline vs holding price (sigma 0.6)</t>
  </si>
  <si>
    <t xml:space="preserve">12.1% vs 4.6-7.1%</t>
  </si>
  <si>
    <t xml:space="preserve">E2 disposal: share disposing at FCC-cap scale ($50/sat) vs bond &gt;= cost</t>
  </si>
  <si>
    <t xml:space="preserve">0% -&gt; 100%; d p50 $71k</t>
  </si>
  <si>
    <t xml:space="preserve">Coverage matrix (tested): no single instrument unpicks both games.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</si>
</sst>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0.0%"/>
    <numFmt numFmtId="167" formatCode="0.0"/>
    <numFmt numFmtId="168" formatCode="0.00E+00"/>
    <numFmt numFmtId="169" formatCode="0.00"/>
    <numFmt numFmtId="170" formatCode="0.000E+00"/>
    <numFmt numFmtId="171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0"/>
      <charset val="1"/>
    </font>
    <font>
      <sz val="11"/>
      <name val="Arial"/>
      <family val="0"/>
      <charset val="1"/>
    </font>
    <font>
      <b val="true"/>
      <sz val="11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10"/>
  </cols>
  <sheetData>
    <row r="1" customFormat="false" ht="15.7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</row>
    <row r="5" customFormat="false" ht="15" hidden="false" customHeight="true" outlineLevel="0" collapsed="false">
      <c r="A5" s="5" t="s">
        <v>3</v>
      </c>
    </row>
    <row r="6" customFormat="false" ht="15" hidden="false" customHeight="true" outlineLevel="0" collapsed="false">
      <c r="A6" s="3" t="s">
        <v>4</v>
      </c>
    </row>
    <row r="7" customFormat="false" ht="15" hidden="false" customHeight="true" outlineLevel="0" collapsed="false">
      <c r="A7" s="3" t="s">
        <v>5</v>
      </c>
    </row>
    <row r="9" customFormat="false" ht="15" hidden="false" customHeight="true" outlineLevel="0" collapsed="false">
      <c r="A9" s="4" t="s">
        <v>6</v>
      </c>
    </row>
    <row r="10" customFormat="false" ht="15" hidden="false" customHeight="true" outlineLevel="0" collapsed="false">
      <c r="A10" s="3" t="s">
        <v>7</v>
      </c>
    </row>
    <row r="11" customFormat="false" ht="15" hidden="false" customHeight="true" outlineLevel="0" collapsed="false">
      <c r="A11" s="3" t="s">
        <v>8</v>
      </c>
    </row>
    <row r="12" customFormat="false" ht="15" hidden="false" customHeight="true" outlineLevel="0" collapsed="false">
      <c r="A12" s="3" t="s">
        <v>9</v>
      </c>
    </row>
    <row r="13" customFormat="false" ht="15" hidden="false" customHeight="true" outlineLevel="0" collapsed="false">
      <c r="A13" s="3" t="s">
        <v>10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8"/>
    <col collapsed="false" customWidth="true" hidden="false" outlineLevel="0" max="2" min="2" style="1" width="14"/>
    <col collapsed="false" customWidth="true" hidden="false" outlineLevel="0" max="3" min="3" style="1" width="64"/>
  </cols>
  <sheetData>
    <row r="1" customFormat="false" ht="15.75" hidden="false" customHeight="true" outlineLevel="0" collapsed="false">
      <c r="A1" s="2" t="s">
        <v>11</v>
      </c>
    </row>
    <row r="3" customFormat="false" ht="15" hidden="false" customHeight="true" outlineLevel="0" collapsed="false">
      <c r="A3" s="4" t="s">
        <v>12</v>
      </c>
      <c r="B3" s="4" t="s">
        <v>13</v>
      </c>
      <c r="C3" s="4" t="s">
        <v>14</v>
      </c>
    </row>
    <row r="4" customFormat="false" ht="15" hidden="false" customHeight="true" outlineLevel="0" collapsed="false">
      <c r="A4" s="3" t="s">
        <v>15</v>
      </c>
      <c r="B4" s="6" t="n">
        <v>32010</v>
      </c>
      <c r="C4" s="3" t="s">
        <v>16</v>
      </c>
    </row>
    <row r="5" customFormat="false" ht="15" hidden="false" customHeight="true" outlineLevel="0" collapsed="false">
      <c r="A5" s="3" t="s">
        <v>17</v>
      </c>
      <c r="B5" s="6" t="n">
        <v>19639</v>
      </c>
      <c r="C5" s="3" t="s">
        <v>18</v>
      </c>
    </row>
    <row r="6" customFormat="false" ht="15" hidden="false" customHeight="true" outlineLevel="0" collapsed="false">
      <c r="A6" s="3" t="s">
        <v>19</v>
      </c>
      <c r="B6" s="6" t="n">
        <v>2191</v>
      </c>
      <c r="C6" s="3" t="s">
        <v>20</v>
      </c>
    </row>
    <row r="7" customFormat="false" ht="15" hidden="false" customHeight="true" outlineLevel="0" collapsed="false">
      <c r="A7" s="3" t="s">
        <v>21</v>
      </c>
      <c r="B7" s="6" t="n">
        <v>10180</v>
      </c>
      <c r="C7" s="3" t="s">
        <v>22</v>
      </c>
    </row>
    <row r="8" customFormat="false" ht="15" hidden="false" customHeight="true" outlineLevel="0" collapsed="false">
      <c r="A8" s="3" t="s">
        <v>23</v>
      </c>
      <c r="B8" s="6" t="n">
        <v>10742</v>
      </c>
      <c r="C8" s="3" t="s">
        <v>24</v>
      </c>
    </row>
    <row r="9" customFormat="false" ht="15" hidden="false" customHeight="true" outlineLevel="0" collapsed="false">
      <c r="A9" s="3" t="s">
        <v>25</v>
      </c>
      <c r="B9" s="6" t="n">
        <v>654</v>
      </c>
      <c r="C9" s="3" t="s">
        <v>26</v>
      </c>
    </row>
    <row r="10" customFormat="false" ht="15" hidden="false" customHeight="true" outlineLevel="0" collapsed="false">
      <c r="A10" s="3" t="s">
        <v>27</v>
      </c>
      <c r="B10" s="6" t="n">
        <v>238</v>
      </c>
      <c r="C10" s="3" t="s">
        <v>28</v>
      </c>
    </row>
    <row r="11" customFormat="false" ht="15" hidden="false" customHeight="true" outlineLevel="0" collapsed="false">
      <c r="A11" s="3" t="s">
        <v>29</v>
      </c>
      <c r="B11" s="6" t="n">
        <v>16234</v>
      </c>
      <c r="C11" s="3" t="s">
        <v>30</v>
      </c>
    </row>
    <row r="12" customFormat="false" ht="15" hidden="false" customHeight="true" outlineLevel="0" collapsed="false">
      <c r="A12" s="3" t="s">
        <v>31</v>
      </c>
      <c r="B12" s="6" t="n">
        <v>10736</v>
      </c>
      <c r="C12" s="3" t="s">
        <v>32</v>
      </c>
    </row>
    <row r="13" customFormat="false" ht="15" hidden="false" customHeight="true" outlineLevel="0" collapsed="false">
      <c r="A13" s="3" t="s">
        <v>33</v>
      </c>
      <c r="B13" s="7" t="n">
        <f aca="false">B5+B6+B7</f>
        <v>32010</v>
      </c>
      <c r="C13" s="3" t="s">
        <v>34</v>
      </c>
    </row>
    <row r="15" customFormat="false" ht="15" hidden="false" customHeight="true" outlineLevel="0" collapsed="false">
      <c r="A15" s="4" t="s">
        <v>35</v>
      </c>
    </row>
    <row r="16" customFormat="false" ht="15" hidden="false" customHeight="true" outlineLevel="0" collapsed="false">
      <c r="A16" s="3" t="s">
        <v>36</v>
      </c>
      <c r="B16" s="8" t="n">
        <f aca="false">(B8-2)/B5</f>
        <v>0.546871021946128</v>
      </c>
      <c r="C16" s="3" t="s">
        <v>37</v>
      </c>
    </row>
    <row r="17" customFormat="false" ht="15" hidden="false" customHeight="true" outlineLevel="0" collapsed="false">
      <c r="A17" s="3" t="s">
        <v>38</v>
      </c>
      <c r="B17" s="8" t="n">
        <f aca="false">B8/B4</f>
        <v>0.335582630427991</v>
      </c>
      <c r="C17" s="3" t="s">
        <v>39</v>
      </c>
    </row>
    <row r="18" customFormat="false" ht="15" hidden="false" customHeight="true" outlineLevel="0" collapsed="false">
      <c r="A18" s="3" t="s">
        <v>40</v>
      </c>
      <c r="B18" s="8" t="n">
        <f aca="false">B12/B11</f>
        <v>0.661328076875693</v>
      </c>
      <c r="C18" s="3" t="s">
        <v>39</v>
      </c>
    </row>
    <row r="19" customFormat="false" ht="15" hidden="false" customHeight="true" outlineLevel="0" collapsed="false">
      <c r="A19" s="3" t="s">
        <v>41</v>
      </c>
      <c r="B19" s="8" t="n">
        <f aca="false">B7/B4</f>
        <v>0.318025616994689</v>
      </c>
      <c r="C19" s="3" t="s">
        <v>39</v>
      </c>
    </row>
    <row r="20" customFormat="false" ht="15" hidden="false" customHeight="true" outlineLevel="0" collapsed="false">
      <c r="A20" s="3" t="s">
        <v>42</v>
      </c>
      <c r="B20" s="9" t="n">
        <f aca="false">B8/B9</f>
        <v>16.4250764525994</v>
      </c>
      <c r="C20" s="3" t="s">
        <v>39</v>
      </c>
    </row>
    <row r="22" customFormat="false" ht="15" hidden="false" customHeight="true" outlineLevel="0" collapsed="false">
      <c r="A22" s="4" t="s">
        <v>43</v>
      </c>
    </row>
    <row r="23" customFormat="false" ht="15" hidden="false" customHeight="true" outlineLevel="0" collapsed="false">
      <c r="A23" s="3" t="s">
        <v>44</v>
      </c>
      <c r="B23" s="6" t="n">
        <v>2113</v>
      </c>
      <c r="C23" s="3" t="s">
        <v>45</v>
      </c>
    </row>
    <row r="24" customFormat="false" ht="15" hidden="false" customHeight="true" outlineLevel="0" collapsed="false">
      <c r="A24" s="3" t="s">
        <v>46</v>
      </c>
      <c r="B24" s="10" t="n">
        <v>0.3866</v>
      </c>
      <c r="C24" s="3" t="s">
        <v>47</v>
      </c>
    </row>
    <row r="25" customFormat="false" ht="15" hidden="false" customHeight="true" outlineLevel="0" collapsed="false">
      <c r="A25" s="3" t="s">
        <v>48</v>
      </c>
      <c r="B25" s="10" t="n">
        <v>0.6613</v>
      </c>
      <c r="C25" s="3" t="s">
        <v>49</v>
      </c>
    </row>
    <row r="26" customFormat="false" ht="15" hidden="false" customHeight="true" outlineLevel="0" collapsed="false">
      <c r="A26" s="3" t="s">
        <v>50</v>
      </c>
      <c r="B26" s="10" t="n">
        <v>0.5204</v>
      </c>
      <c r="C26" s="3" t="s">
        <v>51</v>
      </c>
    </row>
    <row r="27" customFormat="false" ht="15" hidden="false" customHeight="true" outlineLevel="0" collapsed="false">
      <c r="A27" s="3" t="s">
        <v>52</v>
      </c>
      <c r="B27" s="10" t="n">
        <v>0.94997</v>
      </c>
      <c r="C27" s="3" t="s">
        <v>53</v>
      </c>
    </row>
    <row r="28" customFormat="false" ht="15" hidden="false" customHeight="true" outlineLevel="0" collapsed="false">
      <c r="A28" s="3" t="s">
        <v>54</v>
      </c>
      <c r="B28" s="10" t="n">
        <v>0.9792</v>
      </c>
      <c r="C28" s="3" t="s">
        <v>55</v>
      </c>
    </row>
    <row r="29" customFormat="false" ht="15" hidden="false" customHeight="true" outlineLevel="0" collapsed="false">
      <c r="A29" s="3" t="s">
        <v>56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3" min="2" style="1" width="11"/>
    <col collapsed="false" customWidth="true" hidden="false" outlineLevel="0" max="4" min="4" style="1" width="20"/>
    <col collapsed="false" customWidth="true" hidden="false" outlineLevel="0" max="5" min="5" style="1" width="18"/>
    <col collapsed="false" customWidth="true" hidden="false" outlineLevel="0" max="6" min="6" style="1" width="22"/>
    <col collapsed="false" customWidth="true" hidden="false" outlineLevel="0" max="7" min="7" style="1" width="52"/>
  </cols>
  <sheetData>
    <row r="1" customFormat="false" ht="15.75" hidden="false" customHeight="true" outlineLevel="0" collapsed="false">
      <c r="A1" s="2" t="s">
        <v>57</v>
      </c>
    </row>
    <row r="3" customFormat="false" ht="15" hidden="false" customHeight="true" outlineLevel="0" collapsed="false">
      <c r="A3" s="4" t="s">
        <v>58</v>
      </c>
      <c r="B3" s="4" t="s">
        <v>59</v>
      </c>
      <c r="C3" s="4" t="s">
        <v>60</v>
      </c>
      <c r="D3" s="4" t="s">
        <v>61</v>
      </c>
      <c r="E3" s="4" t="s">
        <v>62</v>
      </c>
      <c r="F3" s="4" t="s">
        <v>63</v>
      </c>
      <c r="G3" s="4" t="s">
        <v>64</v>
      </c>
    </row>
    <row r="4" customFormat="false" ht="15" hidden="false" customHeight="true" outlineLevel="0" collapsed="false">
      <c r="A4" s="3" t="s">
        <v>65</v>
      </c>
      <c r="B4" s="5" t="n">
        <v>150</v>
      </c>
      <c r="C4" s="5" t="n">
        <v>465</v>
      </c>
      <c r="D4" s="11" t="n">
        <v>1.11960082421859E-008</v>
      </c>
      <c r="E4" s="12" t="n">
        <f aca="false">4*PI()/3*((6371+C4)^3-(6371+B4)^3)</f>
        <v>176587022583.222</v>
      </c>
      <c r="F4" s="7" t="n">
        <f aca="false">D4*E4</f>
        <v>1977.06976030483</v>
      </c>
      <c r="G4" s="3" t="s">
        <v>66</v>
      </c>
    </row>
    <row r="5" customFormat="false" ht="15" hidden="false" customHeight="true" outlineLevel="0" collapsed="false">
      <c r="A5" s="3" t="s">
        <v>67</v>
      </c>
      <c r="B5" s="5" t="n">
        <v>465</v>
      </c>
      <c r="C5" s="5" t="n">
        <v>495</v>
      </c>
      <c r="D5" s="11" t="n">
        <v>4.4478620254719E-007</v>
      </c>
      <c r="E5" s="12" t="n">
        <f aca="false">4*PI()/3*((6371+C5)^3-(6371+B5)^3)</f>
        <v>17694559184.2156</v>
      </c>
      <c r="F5" s="7" t="n">
        <f aca="false">D5*E5</f>
        <v>7870.29578529374</v>
      </c>
      <c r="G5" s="3" t="s">
        <v>66</v>
      </c>
    </row>
    <row r="6" customFormat="false" ht="15" hidden="false" customHeight="true" outlineLevel="0" collapsed="false">
      <c r="A6" s="3" t="s">
        <v>68</v>
      </c>
      <c r="B6" s="5" t="n">
        <v>495</v>
      </c>
      <c r="C6" s="5" t="n">
        <v>540</v>
      </c>
      <c r="D6" s="11" t="n">
        <v>4.32305284014884E-008</v>
      </c>
      <c r="E6" s="12" t="n">
        <f aca="false">4*PI()/3*((6371+C6)^3-(6371+B6)^3)</f>
        <v>26833248198.4813</v>
      </c>
      <c r="F6" s="7" t="n">
        <f aca="false">D6*E6</f>
        <v>1160.01549834863</v>
      </c>
      <c r="G6" s="3" t="s">
        <v>66</v>
      </c>
    </row>
    <row r="7" customFormat="false" ht="15" hidden="false" customHeight="true" outlineLevel="0" collapsed="false">
      <c r="A7" s="3" t="s">
        <v>69</v>
      </c>
      <c r="B7" s="5" t="n">
        <v>540</v>
      </c>
      <c r="C7" s="5" t="n">
        <v>570</v>
      </c>
      <c r="D7" s="11" t="n">
        <v>6.40718846062113E-008</v>
      </c>
      <c r="E7" s="12" t="n">
        <f aca="false">4*PI()/3*((6371+C7)^3-(6371+B7)^3)</f>
        <v>18084094682.1121</v>
      </c>
      <c r="F7" s="7" t="n">
        <f aca="false">D7*E7</f>
        <v>1158.68202768009</v>
      </c>
      <c r="G7" s="3" t="s">
        <v>66</v>
      </c>
    </row>
    <row r="8" customFormat="false" ht="15" hidden="false" customHeight="true" outlineLevel="0" collapsed="false">
      <c r="A8" s="3" t="s">
        <v>70</v>
      </c>
      <c r="B8" s="5" t="n">
        <v>570</v>
      </c>
      <c r="C8" s="5" t="n">
        <v>700</v>
      </c>
      <c r="D8" s="11" t="n">
        <v>2.27412648715764E-008</v>
      </c>
      <c r="E8" s="12" t="n">
        <f aca="false">4*PI()/3*((6371+C8)^3-(6371+B8)^3)</f>
        <v>80187365084.2112</v>
      </c>
      <c r="F8" s="7" t="n">
        <f aca="false">D8*E8</f>
        <v>1823.56210873384</v>
      </c>
      <c r="G8" s="3" t="s">
        <v>66</v>
      </c>
    </row>
    <row r="9" customFormat="false" ht="15" hidden="false" customHeight="true" outlineLevel="0" collapsed="false">
      <c r="A9" s="3" t="s">
        <v>71</v>
      </c>
      <c r="B9" s="5" t="n">
        <v>700</v>
      </c>
      <c r="C9" s="5" t="n">
        <v>1000</v>
      </c>
      <c r="D9" s="11" t="n">
        <v>7.33014988052447E-009</v>
      </c>
      <c r="E9" s="12" t="n">
        <f aca="false">4*PI()/3*((6371+C9)^3-(6371+B9)^3)</f>
        <v>196602153801.363</v>
      </c>
      <c r="F9" s="7" t="n">
        <f aca="false">D9*E9</f>
        <v>1441.12325419792</v>
      </c>
      <c r="G9" s="3" t="s">
        <v>66</v>
      </c>
    </row>
    <row r="10" customFormat="false" ht="15" hidden="false" customHeight="true" outlineLevel="0" collapsed="false">
      <c r="A10" s="3" t="s">
        <v>72</v>
      </c>
      <c r="B10" s="5" t="n">
        <v>1000</v>
      </c>
      <c r="C10" s="5" t="n">
        <v>2000</v>
      </c>
      <c r="D10" s="11" t="n">
        <v>2.81354581246112E-009</v>
      </c>
      <c r="E10" s="12" t="n">
        <f aca="false">4*PI()/3*((6371+C10)^3-(6371+B10)^3)</f>
        <v>779567044895.54</v>
      </c>
      <c r="F10" s="7" t="n">
        <f aca="false">D10*E10</f>
        <v>2193.34759469854</v>
      </c>
      <c r="G10" s="3" t="s">
        <v>66</v>
      </c>
    </row>
    <row r="11" customFormat="false" ht="15" hidden="false" customHeight="true" outlineLevel="0" collapsed="false">
      <c r="A11" s="3" t="s">
        <v>73</v>
      </c>
      <c r="F11" s="7" t="n">
        <f aca="false">SUM(F4:F10)</f>
        <v>17624.0960292576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62"/>
    <col collapsed="false" customWidth="true" hidden="false" outlineLevel="0" max="2" min="2" style="1" width="24"/>
    <col collapsed="false" customWidth="true" hidden="false" outlineLevel="0" max="3" min="3" style="1" width="26"/>
  </cols>
  <sheetData>
    <row r="1" customFormat="false" ht="15.75" hidden="false" customHeight="true" outlineLevel="0" collapsed="false">
      <c r="A1" s="13" t="s">
        <v>74</v>
      </c>
    </row>
    <row r="2" customFormat="false" ht="15" hidden="false" customHeight="true" outlineLevel="0" collapsed="false">
      <c r="A2" s="3" t="s">
        <v>75</v>
      </c>
    </row>
    <row r="4" customFormat="false" ht="15" hidden="false" customHeight="true" outlineLevel="0" collapsed="false">
      <c r="A4" s="4" t="s">
        <v>76</v>
      </c>
    </row>
    <row r="6" customFormat="false" ht="15" hidden="false" customHeight="true" outlineLevel="0" collapsed="false">
      <c r="A6" s="14" t="s">
        <v>12</v>
      </c>
      <c r="B6" s="14" t="s">
        <v>77</v>
      </c>
      <c r="C6" s="14" t="s">
        <v>78</v>
      </c>
    </row>
    <row r="7" customFormat="false" ht="15" hidden="false" customHeight="true" outlineLevel="0" collapsed="false">
      <c r="A7" s="3" t="s">
        <v>79</v>
      </c>
      <c r="B7" s="15" t="n">
        <v>0.713549527441701</v>
      </c>
      <c r="C7" s="15" t="n">
        <v>1.75082238429147</v>
      </c>
    </row>
    <row r="8" customFormat="false" ht="15" hidden="false" customHeight="true" outlineLevel="0" collapsed="false">
      <c r="A8" s="3" t="s">
        <v>80</v>
      </c>
      <c r="B8" s="8" t="n">
        <v>0.753758967273593</v>
      </c>
      <c r="C8" s="8" t="n">
        <v>0.435130283062201</v>
      </c>
    </row>
    <row r="9" customFormat="false" ht="15" hidden="false" customHeight="true" outlineLevel="0" collapsed="false">
      <c r="A9" s="3" t="s">
        <v>81</v>
      </c>
      <c r="B9" s="15" t="n">
        <v>0.494760653353162</v>
      </c>
      <c r="C9" s="15" t="n">
        <v>1.21417650655879</v>
      </c>
    </row>
    <row r="10" customFormat="false" ht="15" hidden="false" customHeight="true" outlineLevel="0" collapsed="false">
      <c r="A10" s="3" t="s">
        <v>82</v>
      </c>
      <c r="B10" s="8" t="n">
        <v>0.75497</v>
      </c>
      <c r="C10" s="8" t="n">
        <v>0.43434</v>
      </c>
    </row>
    <row r="11" customFormat="false" ht="15" hidden="false" customHeight="true" outlineLevel="0" collapsed="false">
      <c r="A11" s="3" t="s">
        <v>83</v>
      </c>
      <c r="B11" s="15" t="n">
        <v>0.265383355506135</v>
      </c>
      <c r="C11" s="15" t="n">
        <v>0.656146546699307</v>
      </c>
    </row>
    <row r="12" customFormat="false" ht="15" hidden="false" customHeight="true" outlineLevel="0" collapsed="false">
      <c r="A12" s="3" t="s">
        <v>84</v>
      </c>
      <c r="B12" s="8" t="n">
        <v>0.87929</v>
      </c>
      <c r="C12" s="8" t="n">
        <v>0.63273</v>
      </c>
    </row>
    <row r="13" customFormat="false" ht="15" hidden="false" customHeight="true" outlineLevel="0" collapsed="false">
      <c r="A13" s="3" t="s">
        <v>85</v>
      </c>
      <c r="B13" s="8" t="n">
        <v>0.924270325041813</v>
      </c>
      <c r="C13" s="8" t="n">
        <v>0.814183592066432</v>
      </c>
    </row>
    <row r="14" customFormat="false" ht="15" hidden="false" customHeight="true" outlineLevel="0" collapsed="false">
      <c r="A14" s="3" t="s">
        <v>86</v>
      </c>
      <c r="B14" s="8" t="n">
        <v>0.00452853420424351</v>
      </c>
      <c r="C14" s="8" t="n">
        <v>0.0111115749473562</v>
      </c>
    </row>
    <row r="16" customFormat="false" ht="15" hidden="false" customHeight="true" outlineLevel="0" collapsed="false">
      <c r="A16" s="16" t="s">
        <v>87</v>
      </c>
    </row>
    <row r="17" customFormat="false" ht="15" hidden="false" customHeight="true" outlineLevel="0" collapsed="false">
      <c r="A17" s="16" t="s">
        <v>88</v>
      </c>
    </row>
    <row r="18" customFormat="false" ht="15" hidden="false" customHeight="true" outlineLevel="0" collapsed="false">
      <c r="A18" s="3" t="s">
        <v>89</v>
      </c>
    </row>
    <row r="19" customFormat="false" ht="15" hidden="false" customHeight="true" outlineLevel="0" collapsed="false">
      <c r="A19" s="3" t="s">
        <v>90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2"/>
    <col collapsed="false" customWidth="true" hidden="false" outlineLevel="0" max="2" min="2" style="1" width="26"/>
    <col collapsed="false" customWidth="true" hidden="false" outlineLevel="0" max="3" min="3" style="1" width="22"/>
    <col collapsed="false" customWidth="true" hidden="false" outlineLevel="0" max="4" min="4" style="1" width="26"/>
    <col collapsed="false" customWidth="true" hidden="false" outlineLevel="0" max="5" min="5" style="1" width="44"/>
  </cols>
  <sheetData>
    <row r="1" customFormat="false" ht="15.75" hidden="false" customHeight="true" outlineLevel="0" collapsed="false">
      <c r="A1" s="2" t="s">
        <v>91</v>
      </c>
    </row>
    <row r="3" customFormat="false" ht="15" hidden="false" customHeight="true" outlineLevel="0" collapsed="false">
      <c r="A3" s="4" t="s">
        <v>92</v>
      </c>
      <c r="B3" s="4" t="s">
        <v>93</v>
      </c>
      <c r="C3" s="4" t="s">
        <v>94</v>
      </c>
      <c r="D3" s="4" t="s">
        <v>95</v>
      </c>
    </row>
    <row r="4" customFormat="false" ht="15" hidden="false" customHeight="true" outlineLevel="0" collapsed="false">
      <c r="A4" s="3" t="s">
        <v>96</v>
      </c>
      <c r="B4" s="17" t="n">
        <v>3.73292737196E-006</v>
      </c>
      <c r="C4" s="8" t="n">
        <f aca="false">B4/SUM($B$4:$B$8)</f>
        <v>0.0846803285808584</v>
      </c>
      <c r="D4" s="9" t="n">
        <f aca="false">(B4/(465-150))/(SUM($B$4:$B$8)/1850)</f>
        <v>0.497328913887581</v>
      </c>
    </row>
    <row r="5" customFormat="false" ht="15" hidden="false" customHeight="true" outlineLevel="0" collapsed="false">
      <c r="A5" s="3" t="s">
        <v>97</v>
      </c>
      <c r="B5" s="17" t="n">
        <v>1.34528532E-005</v>
      </c>
      <c r="C5" s="8" t="n">
        <f aca="false">B5/SUM($B$4:$B$8)</f>
        <v>0.305173906645795</v>
      </c>
      <c r="D5" s="9" t="n">
        <f aca="false">(B5/(495-465))/(SUM($B$4:$B$8)/1850)</f>
        <v>18.8190575764907</v>
      </c>
    </row>
    <row r="6" customFormat="false" ht="15" hidden="false" customHeight="true" outlineLevel="0" collapsed="false">
      <c r="A6" s="3" t="s">
        <v>98</v>
      </c>
      <c r="B6" s="17" t="n">
        <v>9.4671509E-006</v>
      </c>
      <c r="C6" s="8" t="n">
        <f aca="false">B6/SUM($B$4:$B$8)</f>
        <v>0.21475945526249</v>
      </c>
      <c r="D6" s="9" t="n">
        <f aca="false">(B6/(700-495))/(SUM($B$4:$B$8)/1850)</f>
        <v>1.93807313285662</v>
      </c>
    </row>
    <row r="7" customFormat="false" ht="15" hidden="false" customHeight="true" outlineLevel="0" collapsed="false">
      <c r="A7" s="3" t="s">
        <v>99</v>
      </c>
      <c r="B7" s="17" t="n">
        <v>1.07003576E-005</v>
      </c>
      <c r="C7" s="8" t="n">
        <f aca="false">B7/SUM($B$4:$B$8)</f>
        <v>0.242734376325389</v>
      </c>
      <c r="D7" s="9" t="n">
        <f aca="false">(B7/(1000-700))/(SUM($B$4:$B$8)/1850)</f>
        <v>1.4968619873399</v>
      </c>
    </row>
    <row r="8" customFormat="false" ht="15" hidden="false" customHeight="true" outlineLevel="0" collapsed="false">
      <c r="A8" s="3" t="s">
        <v>100</v>
      </c>
      <c r="B8" s="17" t="n">
        <v>6.72929108E-006</v>
      </c>
      <c r="C8" s="8" t="n">
        <f aca="false">B8/SUM($B$4:$B$8)</f>
        <v>0.152651933185467</v>
      </c>
      <c r="D8" s="9" t="n">
        <f aca="false">(B8/(2000-1000))/(SUM($B$4:$B$8)/1850)</f>
        <v>0.282406076393114</v>
      </c>
    </row>
    <row r="9" customFormat="false" ht="15" hidden="false" customHeight="true" outlineLevel="0" collapsed="false">
      <c r="A9" s="3" t="s">
        <v>101</v>
      </c>
    </row>
    <row r="11" customFormat="false" ht="15" hidden="false" customHeight="true" outlineLevel="0" collapsed="false">
      <c r="A11" s="4" t="s">
        <v>102</v>
      </c>
    </row>
    <row r="12" customFormat="false" ht="15" hidden="false" customHeight="true" outlineLevel="0" collapsed="false">
      <c r="A12" s="3" t="s">
        <v>103</v>
      </c>
      <c r="B12" s="6" t="n">
        <v>144404</v>
      </c>
      <c r="C12" s="18" t="n">
        <f aca="false">B12/182.5</f>
        <v>791.254794520548</v>
      </c>
      <c r="D12" s="9" t="n">
        <f aca="false">1440/C12</f>
        <v>1.81989418575663</v>
      </c>
      <c r="E12" s="3" t="s">
        <v>104</v>
      </c>
    </row>
    <row r="13" customFormat="false" ht="15" hidden="false" customHeight="true" outlineLevel="0" collapsed="false">
      <c r="A13" s="3" t="s">
        <v>105</v>
      </c>
      <c r="B13" s="6" t="n">
        <v>148696</v>
      </c>
      <c r="C13" s="18" t="n">
        <f aca="false">B13/183</f>
        <v>812.546448087432</v>
      </c>
      <c r="D13" s="9" t="n">
        <f aca="false">1440/C13</f>
        <v>1.77220638080379</v>
      </c>
      <c r="E13" s="3" t="s">
        <v>104</v>
      </c>
    </row>
    <row r="14" customFormat="false" ht="15" hidden="false" customHeight="true" outlineLevel="0" collapsed="false">
      <c r="A14" s="3" t="s">
        <v>106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2"/>
    <col collapsed="false" customWidth="true" hidden="false" outlineLevel="0" max="4" min="2" style="0" width="16"/>
  </cols>
  <sheetData>
    <row r="1" customFormat="false" ht="15" hidden="false" customHeight="false" outlineLevel="0" collapsed="false">
      <c r="A1" s="19" t="s">
        <v>74</v>
      </c>
    </row>
    <row r="2" customFormat="false" ht="15" hidden="false" customHeight="false" outlineLevel="0" collapsed="false">
      <c r="A2" s="0" t="s">
        <v>107</v>
      </c>
    </row>
    <row r="3" customFormat="false" ht="15" hidden="false" customHeight="false" outlineLevel="0" collapsed="false">
      <c r="A3" s="0" t="s">
        <v>108</v>
      </c>
    </row>
    <row r="5" customFormat="false" ht="15" hidden="false" customHeight="false" outlineLevel="0" collapsed="false">
      <c r="A5" s="19" t="s">
        <v>109</v>
      </c>
      <c r="B5" s="0" t="s">
        <v>110</v>
      </c>
      <c r="C5" s="0" t="s">
        <v>111</v>
      </c>
      <c r="D5" s="0" t="s">
        <v>112</v>
      </c>
    </row>
    <row r="6" customFormat="false" ht="15" hidden="false" customHeight="false" outlineLevel="0" collapsed="false">
      <c r="A6" s="0" t="s">
        <v>113</v>
      </c>
      <c r="B6" s="0" t="n">
        <v>0.1359</v>
      </c>
      <c r="C6" s="0" t="n">
        <v>0.0095</v>
      </c>
      <c r="D6" s="0" t="s">
        <v>114</v>
      </c>
    </row>
    <row r="7" customFormat="false" ht="15" hidden="false" customHeight="false" outlineLevel="0" collapsed="false">
      <c r="A7" s="0" t="s">
        <v>115</v>
      </c>
      <c r="B7" s="0" t="n">
        <v>5.7699</v>
      </c>
      <c r="C7" s="0" t="n">
        <v>0.9814</v>
      </c>
      <c r="D7" s="0" t="s">
        <v>116</v>
      </c>
    </row>
    <row r="8" customFormat="false" ht="15" hidden="false" customHeight="false" outlineLevel="0" collapsed="false">
      <c r="A8" s="0" t="s">
        <v>117</v>
      </c>
      <c r="B8" s="0" t="n">
        <v>4.208</v>
      </c>
      <c r="C8" s="0" t="n">
        <v>0.942</v>
      </c>
      <c r="D8" s="0" t="s">
        <v>118</v>
      </c>
    </row>
    <row r="9" customFormat="false" ht="15" hidden="false" customHeight="false" outlineLevel="0" collapsed="false">
      <c r="A9" s="0" t="s">
        <v>119</v>
      </c>
      <c r="B9" s="0" t="n">
        <v>2.1</v>
      </c>
      <c r="C9" s="0" t="n">
        <v>0.79</v>
      </c>
      <c r="D9" s="0" t="s">
        <v>120</v>
      </c>
    </row>
    <row r="10" customFormat="false" ht="15" hidden="false" customHeight="false" outlineLevel="0" collapsed="false">
      <c r="A10" s="0" t="s">
        <v>121</v>
      </c>
    </row>
    <row r="12" customFormat="false" ht="15" hidden="false" customHeight="false" outlineLevel="0" collapsed="false">
      <c r="A12" s="19" t="s">
        <v>122</v>
      </c>
      <c r="B12" s="0" t="s">
        <v>123</v>
      </c>
      <c r="C12" s="0" t="s">
        <v>124</v>
      </c>
      <c r="D12" s="0" t="s">
        <v>125</v>
      </c>
    </row>
    <row r="13" customFormat="false" ht="15" hidden="false" customHeight="false" outlineLevel="0" collapsed="false">
      <c r="A13" s="0" t="s">
        <v>126</v>
      </c>
      <c r="B13" s="0" t="n">
        <v>1973</v>
      </c>
      <c r="C13" s="0" t="n">
        <v>3677</v>
      </c>
      <c r="D13" s="0" t="n">
        <v>3319</v>
      </c>
    </row>
    <row r="14" customFormat="false" ht="15" hidden="false" customHeight="false" outlineLevel="0" collapsed="false">
      <c r="A14" s="0" t="s">
        <v>127</v>
      </c>
      <c r="B14" s="0" t="n">
        <v>73113</v>
      </c>
      <c r="C14" s="0" t="n">
        <v>65312</v>
      </c>
      <c r="D14" s="0" t="n">
        <v>8216</v>
      </c>
    </row>
    <row r="15" customFormat="false" ht="15" hidden="false" customHeight="false" outlineLevel="0" collapsed="false">
      <c r="A15" s="0" t="s">
        <v>128</v>
      </c>
      <c r="B15" s="0" t="n">
        <v>2407</v>
      </c>
      <c r="C15" s="0" t="n">
        <v>2603</v>
      </c>
      <c r="D15" s="0" t="n">
        <v>2026</v>
      </c>
    </row>
    <row r="16" customFormat="false" ht="15" hidden="false" customHeight="false" outlineLevel="0" collapsed="false">
      <c r="A16" s="0" t="s">
        <v>129</v>
      </c>
      <c r="B16" s="0" t="n">
        <v>2453044</v>
      </c>
      <c r="C16" s="0" t="n">
        <v>147038</v>
      </c>
      <c r="D16" s="0" t="n">
        <v>48148</v>
      </c>
    </row>
    <row r="17" customFormat="false" ht="15" hidden="false" customHeight="false" outlineLevel="0" collapsed="false">
      <c r="A17" s="19" t="s">
        <v>130</v>
      </c>
      <c r="B17" s="0" t="s">
        <v>131</v>
      </c>
      <c r="C17" s="0" t="s">
        <v>132</v>
      </c>
      <c r="D17" s="0" t="s">
        <v>133</v>
      </c>
    </row>
    <row r="19" customFormat="false" ht="15" hidden="false" customHeight="false" outlineLevel="0" collapsed="false">
      <c r="A19" s="0" t="s">
        <v>134</v>
      </c>
      <c r="B19" s="0" t="n">
        <v>0.0139</v>
      </c>
      <c r="C19" s="0" t="s">
        <v>135</v>
      </c>
      <c r="D19" s="0" t="s">
        <v>136</v>
      </c>
    </row>
    <row r="20" customFormat="false" ht="15" hidden="false" customHeight="false" outlineLevel="0" collapsed="false">
      <c r="A20" s="0" t="s">
        <v>137</v>
      </c>
      <c r="B20" s="0" t="n">
        <v>584046</v>
      </c>
      <c r="C20" s="0" t="s">
        <v>138</v>
      </c>
    </row>
    <row r="21" customFormat="false" ht="15" hidden="false" customHeight="false" outlineLevel="0" collapsed="false">
      <c r="A21" s="0" t="s">
        <v>139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2"/>
    <col collapsed="false" customWidth="true" hidden="false" outlineLevel="0" max="2" min="2" style="0" width="18"/>
    <col collapsed="false" customWidth="true" hidden="false" outlineLevel="0" max="3" min="3" style="0" width="34"/>
  </cols>
  <sheetData>
    <row r="1" customFormat="false" ht="15" hidden="false" customHeight="false" outlineLevel="0" collapsed="false">
      <c r="A1" s="19" t="s">
        <v>140</v>
      </c>
    </row>
    <row r="2" customFormat="false" ht="15" hidden="false" customHeight="false" outlineLevel="0" collapsed="false">
      <c r="A2" s="0" t="s">
        <v>141</v>
      </c>
    </row>
    <row r="3" customFormat="false" ht="15" hidden="false" customHeight="false" outlineLevel="0" collapsed="false">
      <c r="A3" s="0" t="s">
        <v>142</v>
      </c>
    </row>
    <row r="5" customFormat="false" ht="15" hidden="false" customHeight="false" outlineLevel="0" collapsed="false">
      <c r="A5" s="19" t="s">
        <v>143</v>
      </c>
      <c r="B5" s="0" t="s">
        <v>144</v>
      </c>
    </row>
    <row r="6" customFormat="false" ht="15" hidden="false" customHeight="false" outlineLevel="0" collapsed="false">
      <c r="A6" s="0" t="s">
        <v>145</v>
      </c>
      <c r="B6" s="0" t="n">
        <v>0.69045</v>
      </c>
    </row>
    <row r="7" customFormat="false" ht="15" hidden="false" customHeight="false" outlineLevel="0" collapsed="false">
      <c r="A7" s="0" t="s">
        <v>146</v>
      </c>
      <c r="B7" s="0" t="n">
        <v>0.16993</v>
      </c>
    </row>
    <row r="8" customFormat="false" ht="15" hidden="false" customHeight="false" outlineLevel="0" collapsed="false">
      <c r="A8" s="0" t="s">
        <v>147</v>
      </c>
      <c r="B8" s="0" t="n">
        <v>0.13962</v>
      </c>
    </row>
    <row r="9" customFormat="false" ht="15" hidden="false" customHeight="false" outlineLevel="0" collapsed="false">
      <c r="A9" s="0" t="s">
        <v>148</v>
      </c>
      <c r="B9" s="0" t="n">
        <v>0.44671</v>
      </c>
    </row>
    <row r="10" customFormat="false" ht="15" hidden="false" customHeight="false" outlineLevel="0" collapsed="false">
      <c r="A10" s="0" t="s">
        <v>149</v>
      </c>
      <c r="B10" s="0" t="n">
        <v>1.3454434</v>
      </c>
    </row>
    <row r="11" customFormat="false" ht="15" hidden="false" customHeight="false" outlineLevel="0" collapsed="false">
      <c r="A11" s="0" t="s">
        <v>150</v>
      </c>
      <c r="B11" s="0" t="n">
        <v>0.741202624</v>
      </c>
    </row>
    <row r="12" customFormat="false" ht="15" hidden="false" customHeight="false" outlineLevel="0" collapsed="false">
      <c r="A12" s="0" t="s">
        <v>151</v>
      </c>
      <c r="B12" s="0" t="n">
        <v>768.15</v>
      </c>
    </row>
    <row r="13" customFormat="false" ht="15" hidden="false" customHeight="false" outlineLevel="0" collapsed="false">
      <c r="A13" s="0" t="s">
        <v>152</v>
      </c>
      <c r="B13" s="0" t="n">
        <v>230.57</v>
      </c>
    </row>
    <row r="14" customFormat="false" ht="15" hidden="false" customHeight="false" outlineLevel="0" collapsed="false">
      <c r="A14" s="0" t="s">
        <v>153</v>
      </c>
      <c r="B14" s="0" t="n">
        <v>339407</v>
      </c>
    </row>
    <row r="15" customFormat="false" ht="15" hidden="false" customHeight="false" outlineLevel="0" collapsed="false">
      <c r="A15" s="0" t="s">
        <v>154</v>
      </c>
      <c r="B15" s="0" t="n">
        <v>0.4128</v>
      </c>
    </row>
    <row r="17" customFormat="false" ht="15" hidden="false" customHeight="false" outlineLevel="0" collapsed="false">
      <c r="A17" s="19" t="s">
        <v>155</v>
      </c>
    </row>
    <row r="18" customFormat="false" ht="15" hidden="false" customHeight="false" outlineLevel="0" collapsed="false">
      <c r="A18" s="0" t="s">
        <v>156</v>
      </c>
      <c r="B18" s="0" t="n">
        <v>1251600</v>
      </c>
    </row>
    <row r="19" customFormat="false" ht="15" hidden="false" customHeight="false" outlineLevel="0" collapsed="false">
      <c r="A19" s="0" t="s">
        <v>157</v>
      </c>
      <c r="B19" s="0" t="n">
        <v>12.66</v>
      </c>
      <c r="C19" s="0" t="s">
        <v>158</v>
      </c>
    </row>
    <row r="20" customFormat="false" ht="15" hidden="false" customHeight="false" outlineLevel="0" collapsed="false">
      <c r="A20" s="0" t="s">
        <v>159</v>
      </c>
      <c r="B20" s="0" t="n">
        <v>59.29</v>
      </c>
      <c r="C20" s="0" t="s">
        <v>160</v>
      </c>
    </row>
    <row r="22" customFormat="false" ht="15" hidden="false" customHeight="false" outlineLevel="0" collapsed="false">
      <c r="A22" s="19" t="s">
        <v>161</v>
      </c>
    </row>
    <row r="23" customFormat="false" ht="15" hidden="false" customHeight="false" outlineLevel="0" collapsed="false">
      <c r="A23" s="0" t="s">
        <v>162</v>
      </c>
      <c r="B23" s="0" t="s">
        <v>163</v>
      </c>
    </row>
    <row r="24" customFormat="false" ht="15" hidden="false" customHeight="false" outlineLevel="0" collapsed="false">
      <c r="A24" s="0" t="s">
        <v>164</v>
      </c>
      <c r="B24" s="0" t="s">
        <v>165</v>
      </c>
    </row>
    <row r="25" customFormat="false" ht="15" hidden="false" customHeight="false" outlineLevel="0" collapsed="false">
      <c r="A25" s="0" t="s">
        <v>166</v>
      </c>
      <c r="B25" s="0" t="s">
        <v>167</v>
      </c>
    </row>
    <row r="26" customFormat="false" ht="15" hidden="false" customHeight="false" outlineLevel="0" collapsed="false">
      <c r="A26" s="0" t="s">
        <v>168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2026-07-15T19:46:25Z</dcterms:created>
  <dc:creator>openpyxl</dc:creator>
  <dc:description/>
  <dc:language>en-US</dc:language>
  <cp:lastModifiedBy/>
  <dcterms:modified xsi:type="dcterms:W3CDTF">2026-07-16T04:20:29Z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